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1120" windowHeight="10095"/>
  </bookViews>
  <sheets>
    <sheet name="incentive calc" sheetId="2" r:id="rId1"/>
    <sheet name="mgmt fee" sheetId="4" r:id="rId2"/>
    <sheet name="mgmt fee on draws" sheetId="3" r:id="rId3"/>
  </sheets>
  <externalReferences>
    <externalReference r:id="rId4"/>
  </externalReferences>
  <definedNames>
    <definedName name="CQNETINCOME">'[1]Operating Highlights'!$R$31</definedName>
    <definedName name="_xlnm.Print_Area" localSheetId="1">'mgmt fee'!$A$1:$C$29</definedName>
  </definedNames>
  <calcPr calcId="145621" calcMode="autoNoTable" iterate="1"/>
</workbook>
</file>

<file path=xl/calcChain.xml><?xml version="1.0" encoding="utf-8"?>
<calcChain xmlns="http://schemas.openxmlformats.org/spreadsheetml/2006/main">
  <c r="H15" i="2" l="1"/>
  <c r="D15" i="2"/>
  <c r="B15" i="2"/>
  <c r="B3" i="3" l="1"/>
  <c r="D27" i="3"/>
  <c r="B21" i="3" s="1"/>
  <c r="B13" i="3"/>
  <c r="B17" i="3" s="1"/>
  <c r="B19" i="3" s="1"/>
  <c r="B25" i="3" l="1"/>
  <c r="B9" i="2" l="1"/>
  <c r="B8" i="2"/>
  <c r="B11" i="2" l="1"/>
  <c r="B24" i="4"/>
  <c r="B20" i="4"/>
  <c r="B18" i="4"/>
  <c r="B14" i="4"/>
  <c r="B13" i="2" l="1"/>
  <c r="B28" i="2"/>
  <c r="B25" i="2"/>
  <c r="B30" i="2" s="1"/>
  <c r="D14" i="2" s="1"/>
  <c r="B17" i="2" l="1"/>
  <c r="B21" i="2" l="1"/>
  <c r="B19" i="2"/>
  <c r="B18" i="2"/>
  <c r="B23" i="2" l="1"/>
  <c r="B32" i="2" s="1"/>
  <c r="B22" i="2"/>
  <c r="B27" i="2" l="1"/>
  <c r="D6" i="2" s="1"/>
  <c r="D9" i="2" l="1"/>
  <c r="D8" i="2"/>
  <c r="D11" i="2" l="1"/>
  <c r="D25" i="2" l="1"/>
  <c r="D13" i="2"/>
  <c r="D30" i="2"/>
  <c r="D28" i="2"/>
  <c r="F14" i="2" l="1"/>
  <c r="D17" i="2"/>
  <c r="D21" i="2" l="1"/>
  <c r="D22" i="2" s="1"/>
  <c r="D18" i="2"/>
  <c r="D19" i="2"/>
  <c r="D23" i="2" l="1"/>
  <c r="D32" i="2" s="1"/>
  <c r="D27" i="2" l="1"/>
  <c r="F6" i="2" s="1"/>
  <c r="F8" i="2" s="1"/>
  <c r="F9" i="2" l="1"/>
  <c r="F11" i="2"/>
  <c r="F13" i="2" s="1"/>
  <c r="F15" i="2" s="1"/>
  <c r="F28" i="2" l="1"/>
  <c r="F17" i="2"/>
  <c r="F18" i="2" s="1"/>
  <c r="F25" i="2"/>
  <c r="F30" i="2" s="1"/>
  <c r="H14" i="2" s="1"/>
  <c r="F21" i="2"/>
  <c r="F19" i="2"/>
  <c r="F22" i="2" l="1"/>
  <c r="F23" i="2"/>
  <c r="F32" i="2" s="1"/>
  <c r="F27" i="2" l="1"/>
  <c r="H6" i="2" s="1"/>
  <c r="H8" i="2" l="1"/>
  <c r="H9" i="2"/>
  <c r="H11" i="2" l="1"/>
  <c r="H25" i="2" l="1"/>
  <c r="H30" i="2" s="1"/>
  <c r="H13" i="2"/>
  <c r="H28" i="2"/>
  <c r="H17" i="2" l="1"/>
  <c r="H18" i="2" s="1"/>
  <c r="H21" i="2" l="1"/>
  <c r="H22" i="2" s="1"/>
  <c r="H19" i="2"/>
  <c r="H23" i="2" l="1"/>
  <c r="H32" i="2" s="1"/>
  <c r="H27" i="2" l="1"/>
</calcChain>
</file>

<file path=xl/sharedStrings.xml><?xml version="1.0" encoding="utf-8"?>
<sst xmlns="http://schemas.openxmlformats.org/spreadsheetml/2006/main" count="76" uniqueCount="66">
  <si>
    <t>Year 1</t>
  </si>
  <si>
    <t>Year 2</t>
  </si>
  <si>
    <t>Year 3</t>
  </si>
  <si>
    <t>Income</t>
  </si>
  <si>
    <t>Management fee rate</t>
  </si>
  <si>
    <t>Preferred return</t>
  </si>
  <si>
    <t>Beginning balance</t>
  </si>
  <si>
    <t>Net investment income/(loss)</t>
  </si>
  <si>
    <t>Balance net of incentive</t>
  </si>
  <si>
    <t>Balance before incentive</t>
  </si>
  <si>
    <t>Incentive to G.P. at 50%</t>
  </si>
  <si>
    <t>G.P. catch up allocation</t>
  </si>
  <si>
    <t>G.P. incentive %</t>
  </si>
  <si>
    <t>Incentive to G.P. at 10%</t>
  </si>
  <si>
    <t>G.P Incentive</t>
  </si>
  <si>
    <t>Hypothetical Waterfall</t>
  </si>
  <si>
    <t xml:space="preserve">Management Fee </t>
  </si>
  <si>
    <t>for the period:</t>
  </si>
  <si>
    <t>1/1/20XX through 3/31/20XX</t>
  </si>
  <si>
    <t>Fund:</t>
  </si>
  <si>
    <t>Future Fund Investment Company No.2 Pty Ltd.</t>
  </si>
  <si>
    <t>Management fee percentage</t>
  </si>
  <si>
    <t>Investment period fees calculated on:</t>
  </si>
  <si>
    <t>Management Fee Basis</t>
  </si>
  <si>
    <t xml:space="preserve"> </t>
  </si>
  <si>
    <t>Mangement fee percentage</t>
  </si>
  <si>
    <t>Annual Management Fee</t>
  </si>
  <si>
    <t>Quarterly Management Fee (divided by 4)</t>
  </si>
  <si>
    <t>Adjustments to the Management Fee</t>
  </si>
  <si>
    <t>Due Immediately</t>
  </si>
  <si>
    <t>12/31/XX LP NAV</t>
  </si>
  <si>
    <t>12/31/XX GP NAV</t>
  </si>
  <si>
    <t>Management fee January 1 through March 31, 20XX</t>
  </si>
  <si>
    <t>Annual return</t>
  </si>
  <si>
    <t>Net income/(loss)</t>
  </si>
  <si>
    <t>L.P. income allocation</t>
  </si>
  <si>
    <t>through</t>
  </si>
  <si>
    <t>For Mid-Quarter Capital Contributions</t>
  </si>
  <si>
    <t>LP Capital Contribution</t>
  </si>
  <si>
    <t>GP Capital Contribution</t>
  </si>
  <si>
    <t>Investment period fees calculated on (for mid quarter contributions):</t>
  </si>
  <si>
    <t>LP Capital Contributions</t>
  </si>
  <si>
    <t>1/22/15 LP drawdown</t>
  </si>
  <si>
    <t>Mangement fee percentage (for mid quarter capital contributions)</t>
  </si>
  <si>
    <t>Quarterly Management Fee</t>
  </si>
  <si>
    <t>Daily Management Fee (based on 90 days)</t>
  </si>
  <si>
    <t>Days from January 22 - March 31, 2015</t>
  </si>
  <si>
    <t>Management fee January 22 through March 31, 2015</t>
  </si>
  <si>
    <t>Year 4</t>
  </si>
  <si>
    <t>Loss recovery account</t>
  </si>
  <si>
    <t>Future Fund Investment Company No. 2 Pty Ltd</t>
  </si>
  <si>
    <t>Income allocated at  50/50</t>
  </si>
  <si>
    <t>Income allocated 90/10</t>
  </si>
  <si>
    <t>Income to L.P.s  plus loss recovery</t>
  </si>
  <si>
    <t>Income to L.P.s at 90%</t>
  </si>
  <si>
    <t>(a) For illustration it is assumed that capital contributions occur on the first day of the period.</t>
  </si>
  <si>
    <t>Management fee (b)</t>
  </si>
  <si>
    <t>Capital activity (a)</t>
  </si>
  <si>
    <t>Cumulative income/(loss)</t>
  </si>
  <si>
    <t>Income in excess of preferred return</t>
  </si>
  <si>
    <t>Preferred return to L.P.s (c)</t>
  </si>
  <si>
    <t>Management Fee (a)</t>
  </si>
  <si>
    <t>12/31/20XX LP NAV</t>
  </si>
  <si>
    <t>(b) The annual Management Fee is calculated quarterly in advance based on the prior quarter end  Net Asset Value.  The Management Fee for mid quarter contributions is based on one quarter of the management fee percentage and prorated from the date of the contribution to the end of that quarter. For simplicity, above it is based on the beginning of period balance.</t>
  </si>
  <si>
    <t>(a) The annual Management Fee is calculated quarterly in advance based on the prior quarter end  Net Asset Value.  The Management Fee for mid quarter contributions is based on one quarter of the management fee percentage and prorated from the date of the contribution to the end of that quarter. For simplicity, above it is based on the beginning of period balance.</t>
  </si>
  <si>
    <t>(c) The Preferred Return Amount is 6% per annum on the Limited Partner’s Capital Account balance as of the beginning of the Incentive Allocation Period.  To the extent that any Incentive Allocation Period is less than a full year, the calculation is prorated based on the number of days elapsed in such Incentive Allocation Period.  The Preferred Return Amount is adjusted to reflect any contributions from, distributions to or withdrawals by the Limited Partner during the applicable Incentive Allocation Period.  For simplicity, above it is calculated on the beginning of period balance.</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</si>
</sst>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_);[Red]\(&quot;$&quot;#,##0\)"/>
    <numFmt numFmtId="44" formatCode="_(&quot;$&quot;* #,##0.00_);_(&quot;$&quot;* \(#,##0.00\);_(&quot;$&quot;* &quot;-&quot;??_);_(@_)"/>
    <numFmt numFmtId="43" formatCode="_(* #,##0.00_);_(* \(#,##0.00\);_(* &quot;-&quot;??_);_(@_)"/>
    <numFmt numFmtId="164" formatCode="_(* #,##0_);_(* \(#,##0\);_(* &quot;-&quot;??_);_(@_)"/>
    <numFmt numFmtId="165" formatCode="0.0000%"/>
    <numFmt numFmtId="166" formatCode="_(* #,##0.000_);_(* \(#,##0.000\);_(* &quot;-&quot;??_);_(@_)"/>
    <numFmt numFmtId="167" formatCode="&quot;$&quot;#,##0"/>
    <numFmt numFmtId="168" formatCode="0.0%"/>
  </numFmts>
  <fonts count="20" x14ac:knownFonts="1">
    <font>
      <sz val="11"/>
      <color theme="1"/>
      <name val="Calibri"/>
      <family val="2"/>
      <scheme val="minor"/>
    </font>
    <font>
      <sz val="11"/>
      <color theme="1"/>
      <name val="Calibri"/>
      <family val="2"/>
      <scheme val="minor"/>
    </font>
    <font>
      <sz val="11"/>
      <color theme="1"/>
      <name val="Times New Roman"/>
      <family val="1"/>
    </font>
    <font>
      <sz val="11"/>
      <color rgb="FF0070C0"/>
      <name val="Times New Roman"/>
      <family val="1"/>
    </font>
    <font>
      <sz val="11"/>
      <color theme="1"/>
      <name val="Times New Roman"/>
      <family val="2"/>
    </font>
    <font>
      <sz val="10"/>
      <color theme="1"/>
      <name val="Segoe UI"/>
      <family val="2"/>
    </font>
    <font>
      <b/>
      <sz val="10"/>
      <color theme="1"/>
      <name val="Segoe UI"/>
      <family val="2"/>
    </font>
    <font>
      <sz val="10"/>
      <color theme="0"/>
      <name val="Segoe UI"/>
      <family val="2"/>
    </font>
    <font>
      <sz val="8"/>
      <color theme="1"/>
      <name val="Arial"/>
      <family val="2"/>
    </font>
    <font>
      <sz val="10"/>
      <name val="Arial"/>
      <family val="2"/>
    </font>
    <font>
      <sz val="11"/>
      <color rgb="FF3F3F76"/>
      <name val="Times New Roman"/>
      <family val="2"/>
    </font>
    <font>
      <b/>
      <sz val="11"/>
      <color rgb="FF3F3F3F"/>
      <name val="Times New Roman"/>
      <family val="2"/>
    </font>
    <font>
      <b/>
      <sz val="12"/>
      <color theme="1"/>
      <name val="Times New Roman"/>
      <family val="1"/>
    </font>
    <font>
      <b/>
      <sz val="11"/>
      <color theme="1"/>
      <name val="Times New Roman"/>
      <family val="1"/>
    </font>
    <font>
      <b/>
      <u/>
      <sz val="11"/>
      <color theme="1"/>
      <name val="Times New Roman"/>
      <family val="1"/>
    </font>
    <font>
      <sz val="11"/>
      <color rgb="FF0000FF"/>
      <name val="Times New Roman"/>
      <family val="1"/>
    </font>
    <font>
      <sz val="11"/>
      <name val="Times New Roman"/>
      <family val="1"/>
    </font>
    <font>
      <b/>
      <sz val="11"/>
      <name val="Times New Roman"/>
      <family val="1"/>
    </font>
    <font>
      <sz val="11"/>
      <color rgb="FF3F3F76"/>
      <name val="Times New Roman"/>
      <family val="1"/>
    </font>
    <font>
      <b/>
      <sz val="11"/>
      <color rgb="FF3F3F3F"/>
      <name val="Times New Roman"/>
      <family val="1"/>
    </font>
  </fonts>
  <fills count="7">
    <fill>
      <patternFill patternType="none"/>
    </fill>
    <fill>
      <patternFill patternType="gray125"/>
    </fill>
    <fill>
      <patternFill patternType="solid">
        <fgColor theme="0" tint="-0.249977111117893"/>
        <bgColor indexed="64"/>
      </patternFill>
    </fill>
    <fill>
      <patternFill patternType="solid">
        <fgColor rgb="FFFFCC99"/>
      </patternFill>
    </fill>
    <fill>
      <patternFill patternType="solid">
        <fgColor rgb="FFF2F2F2"/>
      </patternFill>
    </fill>
    <fill>
      <patternFill patternType="solid">
        <fgColor theme="6" tint="0.79998168889431442"/>
        <bgColor indexed="64"/>
      </patternFill>
    </fill>
    <fill>
      <patternFill patternType="solid">
        <fgColor rgb="FFFFFF00"/>
        <bgColor indexed="64"/>
      </patternFill>
    </fill>
  </fills>
  <borders count="7">
    <border>
      <left/>
      <right/>
      <top/>
      <bottom/>
      <diagonal/>
    </border>
    <border>
      <left/>
      <right/>
      <top/>
      <bottom style="thin">
        <color indexed="64"/>
      </bottom>
      <diagonal/>
    </border>
    <border>
      <left/>
      <right/>
      <top/>
      <bottom style="double">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0">
    <xf numFmtId="0" fontId="0" fillId="0" borderId="0"/>
    <xf numFmtId="43" fontId="1" fillId="0" borderId="0" applyFont="0" applyFill="0" applyBorder="0" applyAlignment="0" applyProtection="0"/>
    <xf numFmtId="9" fontId="1" fillId="0" borderId="0" applyFont="0" applyFill="0" applyBorder="0" applyAlignment="0" applyProtection="0"/>
    <xf numFmtId="0" fontId="4" fillId="0" borderId="0"/>
    <xf numFmtId="43" fontId="9" fillId="0" borderId="0" applyFont="0" applyFill="0" applyBorder="0" applyAlignment="0" applyProtection="0"/>
    <xf numFmtId="44" fontId="9" fillId="0" borderId="0" applyFont="0" applyFill="0" applyBorder="0" applyAlignment="0" applyProtection="0"/>
    <xf numFmtId="0" fontId="9" fillId="0" borderId="0"/>
    <xf numFmtId="44" fontId="1" fillId="0" borderId="0" applyFont="0" applyFill="0" applyBorder="0" applyAlignment="0" applyProtection="0"/>
    <xf numFmtId="0" fontId="10" fillId="3" borderId="3" applyNumberFormat="0" applyAlignment="0" applyProtection="0"/>
    <xf numFmtId="0" fontId="11" fillId="4" borderId="4" applyNumberFormat="0" applyAlignment="0" applyProtection="0"/>
  </cellStyleXfs>
  <cellXfs count="71">
    <xf numFmtId="0" fontId="0" fillId="0" borderId="0" xfId="0"/>
    <xf numFmtId="164" fontId="2" fillId="0" borderId="0" xfId="1" applyNumberFormat="1" applyFont="1"/>
    <xf numFmtId="9" fontId="2" fillId="0" borderId="0" xfId="2" applyFont="1"/>
    <xf numFmtId="164" fontId="3" fillId="0" borderId="0" xfId="1" applyNumberFormat="1" applyFont="1"/>
    <xf numFmtId="0" fontId="5" fillId="0" borderId="0" xfId="3" applyFont="1"/>
    <xf numFmtId="0" fontId="5" fillId="0" borderId="0" xfId="3" applyFont="1" applyAlignment="1">
      <alignment horizontal="center"/>
    </xf>
    <xf numFmtId="0" fontId="6" fillId="0" borderId="0" xfId="3" applyFont="1"/>
    <xf numFmtId="0" fontId="8" fillId="0" borderId="0" xfId="3" applyFont="1"/>
    <xf numFmtId="6" fontId="5" fillId="0" borderId="0" xfId="3" applyNumberFormat="1" applyFont="1"/>
    <xf numFmtId="38" fontId="2" fillId="0" borderId="1" xfId="1" applyNumberFormat="1" applyFont="1" applyBorder="1"/>
    <xf numFmtId="38" fontId="2" fillId="0" borderId="0" xfId="1" applyNumberFormat="1" applyFont="1"/>
    <xf numFmtId="164" fontId="2" fillId="0" borderId="5" xfId="1" applyNumberFormat="1" applyFont="1" applyBorder="1"/>
    <xf numFmtId="9" fontId="2" fillId="0" borderId="5" xfId="2" applyFont="1" applyBorder="1"/>
    <xf numFmtId="164" fontId="2" fillId="0" borderId="6" xfId="1" applyNumberFormat="1" applyFont="1" applyBorder="1"/>
    <xf numFmtId="38" fontId="2" fillId="0" borderId="6" xfId="1" applyNumberFormat="1" applyFont="1" applyBorder="1"/>
    <xf numFmtId="0" fontId="8" fillId="0" borderId="0" xfId="0" applyFont="1"/>
    <xf numFmtId="0" fontId="7" fillId="0" borderId="0" xfId="3" applyFont="1" applyFill="1"/>
    <xf numFmtId="14" fontId="7" fillId="0" borderId="0" xfId="3" applyNumberFormat="1" applyFont="1" applyFill="1"/>
    <xf numFmtId="38" fontId="0" fillId="0" borderId="0" xfId="0" applyNumberFormat="1"/>
    <xf numFmtId="10" fontId="0" fillId="0" borderId="0" xfId="2" applyNumberFormat="1" applyFont="1"/>
    <xf numFmtId="43" fontId="0" fillId="0" borderId="0" xfId="1" applyFont="1"/>
    <xf numFmtId="43" fontId="0" fillId="0" borderId="0" xfId="0" applyNumberFormat="1"/>
    <xf numFmtId="166" fontId="0" fillId="0" borderId="0" xfId="0" applyNumberFormat="1"/>
    <xf numFmtId="1" fontId="2" fillId="0" borderId="0" xfId="1" applyNumberFormat="1" applyFont="1"/>
    <xf numFmtId="167" fontId="2" fillId="0" borderId="0" xfId="7" applyNumberFormat="1" applyFont="1"/>
    <xf numFmtId="164" fontId="2" fillId="0" borderId="0" xfId="1" applyNumberFormat="1" applyFont="1" applyAlignment="1">
      <alignment wrapText="1"/>
    </xf>
    <xf numFmtId="164" fontId="2" fillId="0" borderId="0" xfId="1" applyNumberFormat="1" applyFont="1" applyBorder="1"/>
    <xf numFmtId="0" fontId="2" fillId="0" borderId="0" xfId="3" applyFont="1"/>
    <xf numFmtId="0" fontId="2" fillId="0" borderId="0" xfId="3" applyFont="1" applyAlignment="1">
      <alignment horizontal="center"/>
    </xf>
    <xf numFmtId="6" fontId="15" fillId="0" borderId="0" xfId="3" applyNumberFormat="1" applyFont="1"/>
    <xf numFmtId="10" fontId="2" fillId="0" borderId="0" xfId="3" applyNumberFormat="1" applyFont="1" applyAlignment="1">
      <alignment horizontal="right"/>
    </xf>
    <xf numFmtId="6" fontId="15" fillId="0" borderId="0" xfId="3" applyNumberFormat="1" applyFont="1" applyAlignment="1">
      <alignment horizontal="right"/>
    </xf>
    <xf numFmtId="6" fontId="16" fillId="0" borderId="0" xfId="3" applyNumberFormat="1" applyFont="1" applyAlignment="1">
      <alignment horizontal="right"/>
    </xf>
    <xf numFmtId="0" fontId="2" fillId="0" borderId="0" xfId="3" applyFont="1" applyAlignment="1">
      <alignment horizontal="right"/>
    </xf>
    <xf numFmtId="0" fontId="2" fillId="2" borderId="0" xfId="3" applyFont="1" applyFill="1"/>
    <xf numFmtId="6" fontId="2" fillId="0" borderId="0" xfId="3" applyNumberFormat="1" applyFont="1"/>
    <xf numFmtId="6" fontId="15" fillId="0" borderId="0" xfId="3" applyNumberFormat="1" applyFont="1" applyAlignment="1">
      <alignment horizontal="left"/>
    </xf>
    <xf numFmtId="165" fontId="2" fillId="0" borderId="1" xfId="3" applyNumberFormat="1" applyFont="1" applyBorder="1"/>
    <xf numFmtId="6" fontId="2" fillId="0" borderId="1" xfId="3" applyNumberFormat="1" applyFont="1" applyBorder="1"/>
    <xf numFmtId="0" fontId="17" fillId="0" borderId="0" xfId="3" applyFont="1" applyAlignment="1">
      <alignment horizontal="left"/>
    </xf>
    <xf numFmtId="6" fontId="2" fillId="0" borderId="2" xfId="3" applyNumberFormat="1" applyFont="1" applyBorder="1"/>
    <xf numFmtId="0" fontId="17" fillId="0" borderId="0" xfId="3" applyFont="1"/>
    <xf numFmtId="0" fontId="17" fillId="0" borderId="0" xfId="3" applyFont="1" applyAlignment="1">
      <alignment horizontal="left" wrapText="1"/>
    </xf>
    <xf numFmtId="0" fontId="2" fillId="0" borderId="0" xfId="0" applyFont="1" applyAlignment="1">
      <alignment vertical="top" wrapText="1"/>
    </xf>
    <xf numFmtId="0" fontId="2" fillId="0" borderId="0" xfId="0" applyFont="1"/>
    <xf numFmtId="14" fontId="13" fillId="0" borderId="1" xfId="0" applyNumberFormat="1" applyFont="1" applyBorder="1"/>
    <xf numFmtId="0" fontId="2" fillId="0" borderId="0" xfId="0" applyFont="1" applyAlignment="1">
      <alignment horizontal="center"/>
    </xf>
    <xf numFmtId="165" fontId="2" fillId="0" borderId="0" xfId="0" applyNumberFormat="1" applyFont="1" applyAlignment="1">
      <alignment horizontal="right"/>
    </xf>
    <xf numFmtId="6" fontId="15" fillId="0" borderId="0" xfId="0" applyNumberFormat="1" applyFont="1"/>
    <xf numFmtId="0" fontId="2" fillId="2" borderId="0" xfId="0" applyFont="1" applyFill="1"/>
    <xf numFmtId="6" fontId="2" fillId="0" borderId="0" xfId="0" applyNumberFormat="1" applyFont="1"/>
    <xf numFmtId="165" fontId="2" fillId="0" borderId="1" xfId="0" applyNumberFormat="1" applyFont="1" applyBorder="1"/>
    <xf numFmtId="6" fontId="2" fillId="0" borderId="1" xfId="0" applyNumberFormat="1" applyFont="1" applyBorder="1"/>
    <xf numFmtId="164" fontId="2" fillId="0" borderId="0" xfId="0" applyNumberFormat="1" applyFont="1"/>
    <xf numFmtId="0" fontId="17" fillId="0" borderId="0" xfId="0" applyFont="1" applyAlignment="1">
      <alignment horizontal="left"/>
    </xf>
    <xf numFmtId="6" fontId="2" fillId="0" borderId="2" xfId="0" applyNumberFormat="1" applyFont="1" applyBorder="1"/>
    <xf numFmtId="0" fontId="17" fillId="0" borderId="0" xfId="0" applyFont="1"/>
    <xf numFmtId="14" fontId="18" fillId="5" borderId="3" xfId="8" applyNumberFormat="1" applyFont="1" applyFill="1"/>
    <xf numFmtId="164" fontId="19" fillId="4" borderId="4" xfId="9" applyNumberFormat="1" applyFont="1"/>
    <xf numFmtId="0" fontId="14" fillId="0" borderId="0" xfId="0" applyFont="1" applyAlignment="1"/>
    <xf numFmtId="164" fontId="12" fillId="0" borderId="0" xfId="1" applyNumberFormat="1" applyFont="1" applyAlignment="1"/>
    <xf numFmtId="164" fontId="13" fillId="0" borderId="0" xfId="1" applyNumberFormat="1" applyFont="1"/>
    <xf numFmtId="0" fontId="14" fillId="0" borderId="0" xfId="3" applyFont="1" applyAlignment="1">
      <alignment horizontal="center"/>
    </xf>
    <xf numFmtId="14" fontId="13" fillId="0" borderId="0" xfId="3" applyNumberFormat="1" applyFont="1" applyBorder="1" applyAlignment="1">
      <alignment horizontal="center"/>
    </xf>
    <xf numFmtId="168" fontId="2" fillId="0" borderId="0" xfId="2" applyNumberFormat="1" applyFont="1" applyAlignment="1">
      <alignment horizontal="left" indent="9"/>
    </xf>
    <xf numFmtId="168" fontId="2" fillId="0" borderId="0" xfId="2" applyNumberFormat="1" applyFont="1"/>
    <xf numFmtId="164" fontId="2" fillId="6" borderId="0" xfId="1" applyNumberFormat="1" applyFont="1" applyFill="1"/>
    <xf numFmtId="38" fontId="2" fillId="6" borderId="0" xfId="1" applyNumberFormat="1" applyFont="1" applyFill="1"/>
    <xf numFmtId="1" fontId="2" fillId="6" borderId="0" xfId="1" applyNumberFormat="1" applyFont="1" applyFill="1"/>
    <xf numFmtId="9" fontId="2" fillId="6" borderId="0" xfId="2" applyFont="1" applyFill="1"/>
    <xf numFmtId="0" fontId="0" fillId="6" borderId="0" xfId="0" applyFill="1"/>
  </cellXfs>
  <cellStyles count="10">
    <cellStyle name="Comma" xfId="1" builtinId="3"/>
    <cellStyle name="Comma 2" xfId="4"/>
    <cellStyle name="Currency" xfId="7" builtinId="4"/>
    <cellStyle name="Currency 2 10 10" xfId="5"/>
    <cellStyle name="Input 11" xfId="8"/>
    <cellStyle name="Normal" xfId="0" builtinId="0"/>
    <cellStyle name="Normal 2" xfId="3"/>
    <cellStyle name="Normal 4 10 2" xfId="6"/>
    <cellStyle name="Output 11" xfId="9"/>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OPPORTN/OCM%20-%20EMOF/2.UTIMCO/Month%20Close/Monclose%20Files/EMOF-TX%20MONCLOSE%2012.31.20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Contents"/>
      <sheetName val="TB NAV CHECK"/>
      <sheetName val="Parse"/>
      <sheetName val="VariableList"/>
      <sheetName val="Operating Highlights"/>
      <sheetName val="Statement of Operations"/>
      <sheetName val="SCPC"/>
      <sheetName val="Unfunded Commitments"/>
      <sheetName val="Partner Commitments"/>
      <sheetName val="Incentive Allocation"/>
      <sheetName val="Gross IRR"/>
      <sheetName val="Bid Deposit"/>
      <sheetName val="Investor IRR"/>
      <sheetName val="rec"/>
      <sheetName val="Dist"/>
      <sheetName val="GP Income"/>
      <sheetName val="Other Assets"/>
      <sheetName val="NAV Unit Check"/>
      <sheetName val="Other Payables"/>
      <sheetName val="gs nav rpt"/>
    </sheetNames>
    <sheetDataSet>
      <sheetData sheetId="0"/>
      <sheetData sheetId="1">
        <row r="1">
          <cell r="A1" t="str">
            <v>Oaktree TX Emerging Market Opportunities Fund, L.P.</v>
          </cell>
        </row>
      </sheetData>
      <sheetData sheetId="2"/>
      <sheetData sheetId="3"/>
      <sheetData sheetId="4"/>
      <sheetData sheetId="5">
        <row r="31">
          <cell r="R31">
            <v>-45744</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tabSelected="1" zoomScale="85" zoomScaleNormal="85" workbookViewId="0">
      <selection activeCell="F31" sqref="F31"/>
    </sheetView>
  </sheetViews>
  <sheetFormatPr defaultRowHeight="15" x14ac:dyDescent="0.25"/>
  <cols>
    <col min="1" max="1" width="43.7109375" customWidth="1"/>
    <col min="2" max="2" width="15" bestFit="1" customWidth="1"/>
    <col min="3" max="3" width="0.85546875" customWidth="1"/>
    <col min="4" max="4" width="17.85546875" bestFit="1" customWidth="1"/>
    <col min="5" max="5" width="0.85546875" customWidth="1"/>
    <col min="6" max="6" width="11.85546875" bestFit="1" customWidth="1"/>
    <col min="7" max="7" width="0.85546875" customWidth="1"/>
    <col min="8" max="8" width="13.42578125" bestFit="1" customWidth="1"/>
    <col min="9" max="9" width="8.140625" bestFit="1" customWidth="1"/>
    <col min="10" max="10" width="9.85546875" bestFit="1" customWidth="1"/>
  </cols>
  <sheetData>
    <row r="1" spans="1:11" ht="15.75" x14ac:dyDescent="0.25">
      <c r="A1" s="60" t="s">
        <v>50</v>
      </c>
      <c r="B1" s="1"/>
      <c r="C1" s="1"/>
      <c r="D1" s="1"/>
      <c r="E1" s="1"/>
      <c r="F1" s="1"/>
      <c r="G1" s="1"/>
      <c r="H1" s="1"/>
      <c r="I1" s="1"/>
      <c r="J1" s="1"/>
      <c r="K1" s="1"/>
    </row>
    <row r="2" spans="1:11" x14ac:dyDescent="0.25">
      <c r="A2" s="61" t="s">
        <v>15</v>
      </c>
      <c r="B2" s="1"/>
      <c r="C2" s="1"/>
      <c r="D2" s="1"/>
      <c r="E2" s="1"/>
      <c r="F2" s="1"/>
      <c r="G2" s="1"/>
      <c r="H2" s="1"/>
      <c r="I2" s="1"/>
      <c r="J2" s="1"/>
      <c r="K2" s="1"/>
    </row>
    <row r="3" spans="1:11" x14ac:dyDescent="0.25">
      <c r="A3" s="1"/>
      <c r="B3" s="1"/>
      <c r="C3" s="1"/>
      <c r="D3" s="1"/>
      <c r="E3" s="1"/>
      <c r="F3" s="1"/>
      <c r="G3" s="1"/>
      <c r="H3" s="1"/>
      <c r="I3" s="1"/>
      <c r="J3" s="1"/>
      <c r="K3" s="1"/>
    </row>
    <row r="4" spans="1:11" x14ac:dyDescent="0.25">
      <c r="A4" s="26" t="s">
        <v>33</v>
      </c>
      <c r="B4" s="2">
        <v>-0.02</v>
      </c>
      <c r="C4" s="1"/>
      <c r="D4" s="2">
        <v>0.15</v>
      </c>
      <c r="E4" s="1"/>
      <c r="F4" s="2">
        <v>-0.03</v>
      </c>
      <c r="G4" s="1"/>
      <c r="H4" s="2">
        <v>0.12</v>
      </c>
      <c r="I4" s="1"/>
      <c r="J4" s="1"/>
      <c r="K4" s="1"/>
    </row>
    <row r="5" spans="1:11" x14ac:dyDescent="0.25">
      <c r="A5" s="1" t="s">
        <v>24</v>
      </c>
      <c r="B5" s="11" t="s">
        <v>0</v>
      </c>
      <c r="C5" s="1"/>
      <c r="D5" s="11" t="s">
        <v>1</v>
      </c>
      <c r="E5" s="1"/>
      <c r="F5" s="11" t="s">
        <v>2</v>
      </c>
      <c r="G5" s="1"/>
      <c r="H5" s="12" t="s">
        <v>48</v>
      </c>
      <c r="I5" s="1"/>
      <c r="J5" s="1"/>
      <c r="K5" s="1"/>
    </row>
    <row r="6" spans="1:11" x14ac:dyDescent="0.25">
      <c r="A6" s="1" t="s">
        <v>6</v>
      </c>
      <c r="B6" s="24">
        <v>0</v>
      </c>
      <c r="C6" s="1"/>
      <c r="D6" s="24">
        <f>B27</f>
        <v>97000000</v>
      </c>
      <c r="E6" s="1"/>
      <c r="F6" s="24">
        <f>D27</f>
        <v>109522000</v>
      </c>
      <c r="G6" s="1"/>
      <c r="H6" s="24">
        <f>F27</f>
        <v>105141120</v>
      </c>
      <c r="I6" s="1"/>
      <c r="J6" s="1"/>
      <c r="K6" s="1"/>
    </row>
    <row r="7" spans="1:11" x14ac:dyDescent="0.25">
      <c r="A7" s="1" t="s">
        <v>57</v>
      </c>
      <c r="B7" s="10">
        <v>100000000</v>
      </c>
      <c r="C7" s="1"/>
      <c r="D7" s="23">
        <v>0</v>
      </c>
      <c r="E7" s="10"/>
      <c r="F7" s="23">
        <v>0</v>
      </c>
      <c r="G7" s="10"/>
      <c r="H7" s="23">
        <v>0</v>
      </c>
      <c r="I7" s="1"/>
      <c r="J7" s="1"/>
      <c r="K7" s="1"/>
    </row>
    <row r="8" spans="1:11" x14ac:dyDescent="0.25">
      <c r="A8" s="1" t="s">
        <v>3</v>
      </c>
      <c r="B8" s="10">
        <f>B7*B4</f>
        <v>-2000000</v>
      </c>
      <c r="C8" s="1"/>
      <c r="D8" s="10">
        <f>D6*D4</f>
        <v>14550000</v>
      </c>
      <c r="E8" s="10"/>
      <c r="F8" s="10">
        <f>F6*F4</f>
        <v>-3285660</v>
      </c>
      <c r="G8" s="10"/>
      <c r="H8" s="10">
        <f>H6*H4</f>
        <v>12616934.4</v>
      </c>
      <c r="I8" s="1"/>
      <c r="J8" s="1"/>
      <c r="K8" s="1"/>
    </row>
    <row r="9" spans="1:11" x14ac:dyDescent="0.25">
      <c r="A9" s="1" t="s">
        <v>56</v>
      </c>
      <c r="B9" s="9">
        <f>B7*-$I$9</f>
        <v>-1000000</v>
      </c>
      <c r="C9" s="1"/>
      <c r="D9" s="9">
        <f>D6*-$I$9</f>
        <v>-970000</v>
      </c>
      <c r="E9" s="10"/>
      <c r="F9" s="9">
        <f>F6*-$I$9</f>
        <v>-1095220</v>
      </c>
      <c r="G9" s="10"/>
      <c r="H9" s="9">
        <f>H6*-$I$9</f>
        <v>-1051411.2</v>
      </c>
      <c r="I9" s="2">
        <v>0.01</v>
      </c>
      <c r="J9" s="3" t="s">
        <v>4</v>
      </c>
      <c r="K9" s="1"/>
    </row>
    <row r="10" spans="1:11" x14ac:dyDescent="0.25">
      <c r="A10" s="1"/>
      <c r="B10" s="1"/>
      <c r="C10" s="1"/>
      <c r="D10" s="10"/>
      <c r="E10" s="10"/>
      <c r="F10" s="10"/>
      <c r="G10" s="10"/>
      <c r="H10" s="10"/>
      <c r="I10" s="1"/>
      <c r="J10" s="1"/>
      <c r="K10" s="1"/>
    </row>
    <row r="11" spans="1:11" x14ac:dyDescent="0.25">
      <c r="A11" s="1" t="s">
        <v>7</v>
      </c>
      <c r="B11" s="9">
        <f>SUM(B8:B9)</f>
        <v>-3000000</v>
      </c>
      <c r="C11" s="1"/>
      <c r="D11" s="9">
        <f>SUM(D8:D9)</f>
        <v>13580000</v>
      </c>
      <c r="E11" s="10"/>
      <c r="F11" s="9">
        <f>SUM(F8:F9)</f>
        <v>-4380880</v>
      </c>
      <c r="G11" s="10"/>
      <c r="H11" s="9">
        <f>SUM(H8:H9)</f>
        <v>11565523.200000001</v>
      </c>
      <c r="I11" s="1"/>
      <c r="J11" s="1"/>
      <c r="K11" s="1"/>
    </row>
    <row r="12" spans="1:11" x14ac:dyDescent="0.25">
      <c r="A12" s="1"/>
      <c r="B12" s="1"/>
      <c r="C12" s="1"/>
      <c r="D12" s="10"/>
      <c r="E12" s="10"/>
      <c r="F12" s="10"/>
      <c r="G12" s="10"/>
      <c r="H12" s="10"/>
      <c r="I12" s="1"/>
      <c r="J12" s="1"/>
      <c r="K12" s="1"/>
    </row>
    <row r="13" spans="1:11" x14ac:dyDescent="0.25">
      <c r="A13" s="1" t="s">
        <v>60</v>
      </c>
      <c r="B13" s="10">
        <f>IF(B$11&gt;1,IF((B$11&gt;(B$6+B$7)*$I$13),(B$7+B$6)*$I$13,0),0)</f>
        <v>0</v>
      </c>
      <c r="C13" s="1"/>
      <c r="D13" s="10">
        <f>IF(D$11&gt;1,IF((D$11&gt;(D$6+D$7)*$I$13),(D$7+D$6)*$I$13,0),0)</f>
        <v>5820000</v>
      </c>
      <c r="E13" s="10"/>
      <c r="F13" s="10">
        <f>IF(F$11&gt;1,IF((F$11&gt;=(F$6+F$7)*$I$13),(F$7+F$6)*$I$13,0),0)</f>
        <v>0</v>
      </c>
      <c r="G13" s="10"/>
      <c r="H13" s="10">
        <f>IF(H$11&gt;1,IF((H$11&gt;=(H$6+H$7)*$I$13),(H$7+H$6)*$I$13,0),0)</f>
        <v>6308467.2000000002</v>
      </c>
      <c r="I13" s="2">
        <v>0.06</v>
      </c>
      <c r="J13" s="3" t="s">
        <v>5</v>
      </c>
      <c r="K13" s="1"/>
    </row>
    <row r="14" spans="1:11" s="70" customFormat="1" x14ac:dyDescent="0.25">
      <c r="A14" s="66" t="s">
        <v>49</v>
      </c>
      <c r="B14" s="67">
        <v>0</v>
      </c>
      <c r="C14" s="68"/>
      <c r="D14" s="67">
        <f>IF(B30&lt;0,-B30,0)</f>
        <v>3000000</v>
      </c>
      <c r="E14" s="68"/>
      <c r="F14" s="67">
        <f>IF(MIN(D25, D30)&gt;0, 0, -MIN(D25, D30))</f>
        <v>0</v>
      </c>
      <c r="G14" s="68"/>
      <c r="H14" s="67">
        <f>IF(MIN(F25, F30, F25+D25)&gt;0, 0, -MIN(F25, F30, F25+D25))</f>
        <v>4380880</v>
      </c>
      <c r="I14" s="69"/>
      <c r="J14" s="66"/>
      <c r="K14" s="66"/>
    </row>
    <row r="15" spans="1:11" s="70" customFormat="1" x14ac:dyDescent="0.25">
      <c r="A15" s="66" t="s">
        <v>59</v>
      </c>
      <c r="B15" s="67">
        <f>IF(B13&gt;1,B11-B13-B14,0)</f>
        <v>0</v>
      </c>
      <c r="C15" s="68"/>
      <c r="D15" s="67">
        <f>IF(D13&gt;1,D11-D13-D14,0)</f>
        <v>4760000</v>
      </c>
      <c r="E15" s="68"/>
      <c r="F15" s="67">
        <f>IF(F13&gt;1,F11-F13-F14,0)</f>
        <v>0</v>
      </c>
      <c r="G15" s="68"/>
      <c r="H15" s="67">
        <f>IF(H13&gt;1,H11-H13-H14,0)</f>
        <v>876176.00000000093</v>
      </c>
      <c r="I15" s="69"/>
      <c r="J15" s="66"/>
      <c r="K15" s="66"/>
    </row>
    <row r="16" spans="1:11" x14ac:dyDescent="0.25">
      <c r="A16" s="1"/>
      <c r="B16" s="1"/>
      <c r="C16" s="1"/>
      <c r="D16" s="10"/>
      <c r="E16" s="10"/>
      <c r="F16" s="10"/>
      <c r="G16" s="10"/>
      <c r="H16" s="10"/>
      <c r="I16" s="2"/>
      <c r="J16" s="1"/>
      <c r="K16" s="1"/>
    </row>
    <row r="17" spans="1:11" x14ac:dyDescent="0.25">
      <c r="A17" s="13" t="s">
        <v>51</v>
      </c>
      <c r="B17" s="14">
        <f>IF(B$15&gt;0,IF(B$15&lt;(B$13/0.8)-B$13,B$15,(B$13/0.8)-B$13),0)</f>
        <v>0</v>
      </c>
      <c r="C17" s="1"/>
      <c r="D17" s="14">
        <f>IF(D$15&gt;1,IF(D$15&lt;(D$13/0.8)-D$13,D$15,(D$13/0.8)-D$13),0)</f>
        <v>1455000</v>
      </c>
      <c r="E17" s="10"/>
      <c r="F17" s="14">
        <f>IF(F$15&gt;1,IF(F$15&lt;(F$13/0.8)-F$13,F$15,(F$13/0.8)-F$13),0)</f>
        <v>0</v>
      </c>
      <c r="G17" s="10"/>
      <c r="H17" s="14">
        <f>IF(H$15&gt;1,IF(H$15&lt;(H$13/0.8)-H$13,H$15,(H$13/0.8)-H$13),0)</f>
        <v>876176.00000000093</v>
      </c>
      <c r="I17" s="2"/>
      <c r="J17" s="1"/>
      <c r="K17" s="1"/>
    </row>
    <row r="18" spans="1:11" x14ac:dyDescent="0.25">
      <c r="A18" s="1" t="s">
        <v>53</v>
      </c>
      <c r="B18" s="10">
        <f>IF(B$11-B$13&gt;=B$14,B17*$I$18+B14,B17*1)</f>
        <v>0</v>
      </c>
      <c r="C18" s="1"/>
      <c r="D18" s="10">
        <f>IF(D$11-D$13&gt;=D$14,D17*$I$18+D14,D17*1)</f>
        <v>3727500</v>
      </c>
      <c r="E18" s="10"/>
      <c r="F18" s="10">
        <f>IF(F$11-F$13&gt;=F$14,F17*$I$18+F14,F17*1)</f>
        <v>0</v>
      </c>
      <c r="G18" s="10"/>
      <c r="H18" s="10">
        <f>IF(H$11-H$13&gt;=H$14,H17*$I$18+H14,H17*1)</f>
        <v>4818968</v>
      </c>
      <c r="I18" s="2">
        <v>0.5</v>
      </c>
      <c r="J18" s="3" t="s">
        <v>35</v>
      </c>
      <c r="K18" s="1"/>
    </row>
    <row r="19" spans="1:11" x14ac:dyDescent="0.25">
      <c r="A19" s="1" t="s">
        <v>10</v>
      </c>
      <c r="B19" s="10">
        <f>IF(B$11-B$13&gt;=B$14,B17*$I$19,0)</f>
        <v>0</v>
      </c>
      <c r="C19" s="10"/>
      <c r="D19" s="10">
        <f>IF(D$11-D$13&gt;=D$14,D17*$I$19,0)</f>
        <v>727500</v>
      </c>
      <c r="E19" s="10"/>
      <c r="F19" s="10">
        <f>IF(F$11-F$13&gt;=F$14,F17*$I$19,0)</f>
        <v>0</v>
      </c>
      <c r="G19" s="10"/>
      <c r="H19" s="10">
        <f>IF(H$11-H$13&gt;=H$14,H17*$I$19,0)</f>
        <v>438088.00000000047</v>
      </c>
      <c r="I19" s="2">
        <v>0.5</v>
      </c>
      <c r="J19" s="3" t="s">
        <v>11</v>
      </c>
      <c r="K19" s="1"/>
    </row>
    <row r="20" spans="1:11" x14ac:dyDescent="0.25">
      <c r="A20" s="1"/>
      <c r="B20" s="1"/>
      <c r="C20" s="1"/>
      <c r="D20" s="10"/>
      <c r="E20" s="10"/>
      <c r="F20" s="10"/>
      <c r="G20" s="10"/>
      <c r="H20" s="10"/>
      <c r="I20" s="1"/>
      <c r="J20" s="1"/>
      <c r="K20" s="1"/>
    </row>
    <row r="21" spans="1:11" x14ac:dyDescent="0.25">
      <c r="A21" s="13" t="s">
        <v>52</v>
      </c>
      <c r="B21" s="14">
        <f>IF(B$11-B$13&gt;B$14,IF(B$17&lt;0,0,-B$13-B$14+B$11-B$17),0)</f>
        <v>0</v>
      </c>
      <c r="C21" s="1"/>
      <c r="D21" s="14">
        <f>IF(D$11-D$13&gt;D$14,IF(D$17&lt;0,0,-D$13-D$14+D$11-D$17),0)</f>
        <v>3305000</v>
      </c>
      <c r="E21" s="10"/>
      <c r="F21" s="14">
        <f>IF(F$11-F$13&gt;F$14,IF(F$17&lt;=0,0,-F$13-F$14+F$11-F$17),0)</f>
        <v>0</v>
      </c>
      <c r="G21" s="10"/>
      <c r="H21" s="14">
        <f>IF(H$11-H$13&gt;H$14,IF(H$17&lt;0,0,-H$13-H$14+H$11-H$17),0)</f>
        <v>9.3132257461547852E-10</v>
      </c>
      <c r="I21" s="1"/>
      <c r="J21" s="1"/>
      <c r="K21" s="1"/>
    </row>
    <row r="22" spans="1:11" x14ac:dyDescent="0.25">
      <c r="A22" s="1" t="s">
        <v>54</v>
      </c>
      <c r="B22" s="10">
        <f>B21*$I$22</f>
        <v>0</v>
      </c>
      <c r="C22" s="10"/>
      <c r="D22" s="10">
        <f>D21*$I$22</f>
        <v>2974500</v>
      </c>
      <c r="E22" s="10"/>
      <c r="F22" s="10">
        <f>F21*$I$22</f>
        <v>0</v>
      </c>
      <c r="G22" s="10"/>
      <c r="H22" s="10">
        <f>H21*$I$22</f>
        <v>8.3819031715393068E-10</v>
      </c>
      <c r="I22" s="2">
        <v>0.9</v>
      </c>
      <c r="J22" s="3" t="s">
        <v>35</v>
      </c>
      <c r="K22" s="1"/>
    </row>
    <row r="23" spans="1:11" x14ac:dyDescent="0.25">
      <c r="A23" s="1" t="s">
        <v>13</v>
      </c>
      <c r="B23" s="10">
        <f>B21*$I$23</f>
        <v>0</v>
      </c>
      <c r="C23" s="10"/>
      <c r="D23" s="10">
        <f>D21*$I$23</f>
        <v>330500</v>
      </c>
      <c r="E23" s="10"/>
      <c r="F23" s="10">
        <f>F21*$I$23</f>
        <v>0</v>
      </c>
      <c r="G23" s="10"/>
      <c r="H23" s="10">
        <f>H21*$I$23</f>
        <v>9.3132257461547857E-11</v>
      </c>
      <c r="I23" s="2">
        <v>0.1</v>
      </c>
      <c r="J23" s="3" t="s">
        <v>14</v>
      </c>
      <c r="K23" s="1"/>
    </row>
    <row r="24" spans="1:11" x14ac:dyDescent="0.25">
      <c r="A24" s="1"/>
      <c r="B24" s="1"/>
      <c r="C24" s="1"/>
      <c r="D24" s="10"/>
      <c r="E24" s="10"/>
      <c r="F24" s="10"/>
      <c r="G24" s="10"/>
      <c r="H24" s="10"/>
      <c r="I24" s="1"/>
      <c r="J24" s="1"/>
      <c r="K24" s="1"/>
    </row>
    <row r="25" spans="1:11" x14ac:dyDescent="0.25">
      <c r="A25" s="1" t="s">
        <v>34</v>
      </c>
      <c r="B25" s="10">
        <f>B11</f>
        <v>-3000000</v>
      </c>
      <c r="C25" s="10"/>
      <c r="D25" s="10">
        <f>D11</f>
        <v>13580000</v>
      </c>
      <c r="E25" s="10"/>
      <c r="F25" s="10">
        <f>F11</f>
        <v>-4380880</v>
      </c>
      <c r="G25" s="10"/>
      <c r="H25" s="10">
        <f>H11</f>
        <v>11565523.200000001</v>
      </c>
      <c r="I25" s="1"/>
      <c r="J25" s="1"/>
      <c r="K25" s="1"/>
    </row>
    <row r="26" spans="1:11" x14ac:dyDescent="0.25">
      <c r="A26" s="1"/>
      <c r="B26" s="1"/>
      <c r="C26" s="1"/>
      <c r="D26" s="10"/>
      <c r="E26" s="10"/>
      <c r="F26" s="10"/>
      <c r="G26" s="10"/>
      <c r="H26" s="10"/>
      <c r="I26" s="1"/>
      <c r="J26" s="1"/>
      <c r="K26" s="1"/>
    </row>
    <row r="27" spans="1:11" x14ac:dyDescent="0.25">
      <c r="A27" s="1" t="s">
        <v>8</v>
      </c>
      <c r="B27" s="10">
        <f>B6+B7+B11-B19-B23</f>
        <v>97000000</v>
      </c>
      <c r="C27" s="10"/>
      <c r="D27" s="10">
        <f>D6+D7+D11-D19-D23</f>
        <v>109522000</v>
      </c>
      <c r="E27" s="10"/>
      <c r="F27" s="10">
        <f>F6+F7+F11-F19-F23</f>
        <v>105141120</v>
      </c>
      <c r="G27" s="10"/>
      <c r="H27" s="10">
        <f>H6+H7+H11-H19-H23</f>
        <v>116268555.2</v>
      </c>
      <c r="I27" s="1"/>
      <c r="J27" s="1"/>
      <c r="K27" s="1"/>
    </row>
    <row r="28" spans="1:11" x14ac:dyDescent="0.25">
      <c r="A28" s="1" t="s">
        <v>9</v>
      </c>
      <c r="B28" s="10">
        <f>B6+B7+B11</f>
        <v>97000000</v>
      </c>
      <c r="C28" s="10"/>
      <c r="D28" s="10">
        <f>D6+D7+D11</f>
        <v>110580000</v>
      </c>
      <c r="E28" s="10"/>
      <c r="F28" s="10">
        <f>F6+F7+F11</f>
        <v>105141120</v>
      </c>
      <c r="G28" s="10"/>
      <c r="H28" s="10">
        <f>H6+H7+H11</f>
        <v>116706643.2</v>
      </c>
      <c r="I28" s="1"/>
      <c r="J28" s="1"/>
      <c r="K28" s="1"/>
    </row>
    <row r="29" spans="1:11" x14ac:dyDescent="0.25">
      <c r="A29" s="1"/>
      <c r="B29" s="10"/>
      <c r="C29" s="10"/>
      <c r="D29" s="10"/>
      <c r="E29" s="10"/>
      <c r="F29" s="10"/>
      <c r="G29" s="10"/>
      <c r="H29" s="10"/>
      <c r="I29" s="1"/>
      <c r="J29" s="1"/>
      <c r="K29" s="1"/>
    </row>
    <row r="30" spans="1:11" x14ac:dyDescent="0.25">
      <c r="A30" s="1" t="s">
        <v>58</v>
      </c>
      <c r="B30" s="10">
        <f>B25</f>
        <v>-3000000</v>
      </c>
      <c r="C30" s="10"/>
      <c r="D30" s="10">
        <f>B11+D11</f>
        <v>10580000</v>
      </c>
      <c r="E30" s="10"/>
      <c r="F30" s="10">
        <f>D30+F25</f>
        <v>6199120</v>
      </c>
      <c r="G30" s="10"/>
      <c r="H30" s="10">
        <f>F30+H25</f>
        <v>17764643.200000003</v>
      </c>
      <c r="I30" s="1"/>
      <c r="J30" s="1"/>
      <c r="K30" s="1"/>
    </row>
    <row r="31" spans="1:11" x14ac:dyDescent="0.25">
      <c r="A31" s="1"/>
      <c r="B31" s="1"/>
      <c r="C31" s="1"/>
      <c r="D31" s="1"/>
      <c r="E31" s="1"/>
      <c r="F31" s="1"/>
      <c r="G31" s="1"/>
      <c r="H31" s="1"/>
      <c r="I31" s="1"/>
      <c r="J31" s="1"/>
      <c r="K31" s="1"/>
    </row>
    <row r="32" spans="1:11" x14ac:dyDescent="0.25">
      <c r="A32" s="1" t="s">
        <v>12</v>
      </c>
      <c r="B32" s="2">
        <f>(B19+B23)/B11</f>
        <v>0</v>
      </c>
      <c r="C32" s="1"/>
      <c r="D32" s="64">
        <f>(D19+D23)/D11</f>
        <v>7.7908689248895435E-2</v>
      </c>
      <c r="E32" s="1"/>
      <c r="F32" s="2">
        <f>(F19+F23)/F11</f>
        <v>0</v>
      </c>
      <c r="G32" s="1"/>
      <c r="H32" s="65">
        <f>(H19+H23)/H11</f>
        <v>3.7878787878787928E-2</v>
      </c>
      <c r="I32" s="1"/>
      <c r="J32" s="1"/>
      <c r="K32" s="1"/>
    </row>
    <row r="33" spans="1:11" x14ac:dyDescent="0.25">
      <c r="A33" s="1"/>
      <c r="B33" s="1"/>
      <c r="C33" s="1"/>
      <c r="D33" s="1"/>
      <c r="E33" s="1"/>
      <c r="F33" s="1"/>
      <c r="G33" s="1"/>
      <c r="H33" s="1"/>
      <c r="I33" s="1"/>
      <c r="J33" s="1"/>
      <c r="K33" s="1"/>
    </row>
    <row r="34" spans="1:11" ht="30" x14ac:dyDescent="0.25">
      <c r="A34" s="25" t="s">
        <v>55</v>
      </c>
      <c r="B34" s="1"/>
      <c r="C34" s="1"/>
      <c r="D34" s="1"/>
      <c r="E34" s="1"/>
      <c r="F34" s="1"/>
      <c r="G34" s="1"/>
      <c r="H34" s="1"/>
      <c r="I34" s="1"/>
      <c r="J34" s="1"/>
      <c r="K34" s="1"/>
    </row>
    <row r="35" spans="1:11" x14ac:dyDescent="0.25">
      <c r="D35" s="18"/>
      <c r="H35" s="18"/>
    </row>
    <row r="36" spans="1:11" ht="120" x14ac:dyDescent="0.25">
      <c r="A36" s="43" t="s">
        <v>63</v>
      </c>
      <c r="H36" s="18"/>
      <c r="J36" s="18"/>
    </row>
    <row r="37" spans="1:11" x14ac:dyDescent="0.25">
      <c r="D37" s="20"/>
      <c r="H37" s="20"/>
      <c r="I37" s="19"/>
    </row>
    <row r="38" spans="1:11" ht="195" x14ac:dyDescent="0.25">
      <c r="A38" s="43" t="s">
        <v>65</v>
      </c>
      <c r="D38" s="20"/>
      <c r="H38" s="20"/>
      <c r="I38" s="19"/>
    </row>
    <row r="39" spans="1:11" x14ac:dyDescent="0.25">
      <c r="H39" s="20"/>
    </row>
    <row r="40" spans="1:11" x14ac:dyDescent="0.25">
      <c r="D40" s="22"/>
      <c r="H40" s="21"/>
      <c r="K40" s="21"/>
    </row>
    <row r="41" spans="1:11" x14ac:dyDescent="0.25">
      <c r="D41" s="22" t="s">
        <v>24</v>
      </c>
    </row>
    <row r="42" spans="1:11" x14ac:dyDescent="0.25">
      <c r="D42" s="18"/>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9"/>
  <sheetViews>
    <sheetView showGridLines="0" zoomScaleNormal="100" zoomScaleSheetLayoutView="100" workbookViewId="0">
      <selection activeCell="A29" sqref="A29"/>
    </sheetView>
  </sheetViews>
  <sheetFormatPr defaultRowHeight="14.25" x14ac:dyDescent="0.25"/>
  <cols>
    <col min="1" max="1" width="51.42578125" style="4" bestFit="1" customWidth="1"/>
    <col min="2" max="2" width="29.5703125" style="4" customWidth="1"/>
    <col min="3" max="3" width="15.85546875" style="5" customWidth="1"/>
    <col min="4" max="4" width="9.28515625" style="4" bestFit="1" customWidth="1"/>
    <col min="5" max="5" width="9.42578125" style="4" bestFit="1" customWidth="1"/>
    <col min="6" max="6" width="1.5703125" style="4" customWidth="1"/>
    <col min="7" max="7" width="4" style="4" customWidth="1"/>
    <col min="8" max="16384" width="9.140625" style="4"/>
  </cols>
  <sheetData>
    <row r="1" spans="1:5" ht="15" x14ac:dyDescent="0.25">
      <c r="A1" s="27" t="s">
        <v>61</v>
      </c>
      <c r="B1" s="27"/>
      <c r="C1" s="28"/>
      <c r="D1" s="6"/>
    </row>
    <row r="2" spans="1:5" ht="15" x14ac:dyDescent="0.25">
      <c r="A2" s="27" t="s">
        <v>17</v>
      </c>
      <c r="B2" s="63" t="s">
        <v>18</v>
      </c>
      <c r="C2" s="63"/>
      <c r="D2" s="16"/>
      <c r="E2" s="16"/>
    </row>
    <row r="3" spans="1:5" ht="15" x14ac:dyDescent="0.25">
      <c r="A3" s="27" t="s">
        <v>19</v>
      </c>
      <c r="B3" s="62" t="s">
        <v>20</v>
      </c>
      <c r="C3" s="62"/>
      <c r="D3" s="16"/>
      <c r="E3" s="17"/>
    </row>
    <row r="4" spans="1:5" ht="15" x14ac:dyDescent="0.25">
      <c r="A4" s="27"/>
      <c r="B4" s="27"/>
      <c r="C4" s="28"/>
    </row>
    <row r="5" spans="1:5" ht="15" x14ac:dyDescent="0.25">
      <c r="A5" s="27"/>
      <c r="B5" s="29"/>
      <c r="C5" s="28"/>
    </row>
    <row r="6" spans="1:5" ht="51.75" customHeight="1" x14ac:dyDescent="0.25">
      <c r="A6" s="27" t="s">
        <v>21</v>
      </c>
      <c r="B6" s="30">
        <v>0.01</v>
      </c>
      <c r="C6" s="27"/>
      <c r="D6" s="7"/>
    </row>
    <row r="7" spans="1:5" ht="15" x14ac:dyDescent="0.25">
      <c r="A7" s="27" t="s">
        <v>30</v>
      </c>
      <c r="B7" s="31">
        <v>100000000</v>
      </c>
      <c r="C7" s="27"/>
      <c r="D7" s="7"/>
    </row>
    <row r="8" spans="1:5" ht="15" x14ac:dyDescent="0.25">
      <c r="A8" s="27" t="s">
        <v>31</v>
      </c>
      <c r="B8" s="31">
        <v>1000000</v>
      </c>
      <c r="C8" s="27"/>
      <c r="D8" s="7"/>
    </row>
    <row r="9" spans="1:5" ht="15" x14ac:dyDescent="0.25">
      <c r="A9" s="27" t="s">
        <v>22</v>
      </c>
      <c r="B9" s="32" t="s">
        <v>62</v>
      </c>
      <c r="C9" s="27"/>
      <c r="D9" s="7"/>
    </row>
    <row r="10" spans="1:5" ht="15" x14ac:dyDescent="0.25">
      <c r="A10" s="27"/>
      <c r="B10" s="33"/>
      <c r="C10" s="27"/>
      <c r="D10" s="7"/>
    </row>
    <row r="11" spans="1:5" ht="15" x14ac:dyDescent="0.25">
      <c r="A11" s="27"/>
      <c r="B11" s="27"/>
      <c r="C11" s="27"/>
      <c r="D11" s="7"/>
    </row>
    <row r="12" spans="1:5" ht="15" x14ac:dyDescent="0.25">
      <c r="A12" s="27"/>
      <c r="B12" s="27"/>
      <c r="C12" s="27"/>
      <c r="D12" s="7"/>
    </row>
    <row r="13" spans="1:5" ht="15" x14ac:dyDescent="0.25">
      <c r="A13" s="34"/>
      <c r="B13" s="34"/>
      <c r="C13" s="27"/>
      <c r="D13" s="7"/>
    </row>
    <row r="14" spans="1:5" ht="15" x14ac:dyDescent="0.25">
      <c r="A14" s="27" t="s">
        <v>23</v>
      </c>
      <c r="B14" s="35">
        <f>B7</f>
        <v>100000000</v>
      </c>
      <c r="C14" s="36" t="s">
        <v>62</v>
      </c>
      <c r="D14" s="7"/>
      <c r="E14" s="4" t="s">
        <v>24</v>
      </c>
    </row>
    <row r="15" spans="1:5" ht="15" x14ac:dyDescent="0.25">
      <c r="A15" s="27"/>
      <c r="B15" s="27"/>
      <c r="C15" s="27"/>
      <c r="D15" s="7"/>
    </row>
    <row r="16" spans="1:5" ht="15" x14ac:dyDescent="0.25">
      <c r="A16" s="27" t="s">
        <v>25</v>
      </c>
      <c r="B16" s="37">
        <v>0.01</v>
      </c>
      <c r="C16" s="27"/>
      <c r="D16" s="7"/>
    </row>
    <row r="17" spans="1:4" ht="15" x14ac:dyDescent="0.25">
      <c r="A17" s="27"/>
      <c r="B17" s="27"/>
      <c r="C17" s="27"/>
      <c r="D17" s="7"/>
    </row>
    <row r="18" spans="1:4" ht="15" x14ac:dyDescent="0.25">
      <c r="A18" s="27" t="s">
        <v>26</v>
      </c>
      <c r="B18" s="35">
        <f>B14*B16</f>
        <v>1000000</v>
      </c>
      <c r="C18" s="27"/>
      <c r="D18" s="7"/>
    </row>
    <row r="19" spans="1:4" ht="15" x14ac:dyDescent="0.25">
      <c r="A19" s="27"/>
      <c r="B19" s="27"/>
      <c r="C19" s="27"/>
      <c r="D19" s="7"/>
    </row>
    <row r="20" spans="1:4" ht="15" x14ac:dyDescent="0.25">
      <c r="A20" s="27" t="s">
        <v>27</v>
      </c>
      <c r="B20" s="38">
        <f>B18/4</f>
        <v>250000</v>
      </c>
      <c r="C20" s="27"/>
      <c r="D20" s="7"/>
    </row>
    <row r="21" spans="1:4" ht="15" x14ac:dyDescent="0.25">
      <c r="A21" s="27"/>
      <c r="B21" s="27"/>
      <c r="C21" s="27"/>
      <c r="D21" s="7"/>
    </row>
    <row r="22" spans="1:4" ht="15" x14ac:dyDescent="0.25">
      <c r="A22" s="27" t="s">
        <v>28</v>
      </c>
      <c r="B22" s="27">
        <v>0</v>
      </c>
      <c r="C22" s="27"/>
      <c r="D22" s="7"/>
    </row>
    <row r="23" spans="1:4" ht="15" x14ac:dyDescent="0.25">
      <c r="A23" s="27"/>
      <c r="B23" s="27"/>
      <c r="C23" s="27"/>
      <c r="D23" s="7"/>
    </row>
    <row r="24" spans="1:4" ht="15.75" thickBot="1" x14ac:dyDescent="0.3">
      <c r="A24" s="39" t="s">
        <v>32</v>
      </c>
      <c r="B24" s="40">
        <f>B20-B22</f>
        <v>250000</v>
      </c>
      <c r="C24" s="41" t="s">
        <v>29</v>
      </c>
      <c r="D24" s="7"/>
    </row>
    <row r="25" spans="1:4" ht="15.75" thickTop="1" x14ac:dyDescent="0.25">
      <c r="A25" s="27"/>
      <c r="B25" s="27"/>
      <c r="C25" s="28"/>
    </row>
    <row r="26" spans="1:4" ht="15" x14ac:dyDescent="0.25">
      <c r="A26" s="27"/>
      <c r="B26" s="27"/>
      <c r="C26" s="28"/>
    </row>
    <row r="27" spans="1:4" ht="28.5" customHeight="1" thickBot="1" x14ac:dyDescent="0.3">
      <c r="A27" s="42"/>
      <c r="B27" s="40"/>
      <c r="C27" s="39"/>
    </row>
    <row r="28" spans="1:4" ht="15" thickTop="1" x14ac:dyDescent="0.25">
      <c r="B28" s="8"/>
    </row>
    <row r="29" spans="1:4" ht="105" x14ac:dyDescent="0.25">
      <c r="A29" s="43" t="s">
        <v>64</v>
      </c>
      <c r="B29" s="8"/>
    </row>
  </sheetData>
  <mergeCells count="2">
    <mergeCell ref="B3:C3"/>
    <mergeCell ref="B2:C2"/>
  </mergeCells>
  <pageMargins left="0.7" right="0.7" top="0.75" bottom="0.75" header="0.3" footer="0.3"/>
  <pageSetup scale="8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workbookViewId="0">
      <selection activeCell="A30" sqref="A30"/>
    </sheetView>
  </sheetViews>
  <sheetFormatPr defaultRowHeight="15" x14ac:dyDescent="0.25"/>
  <cols>
    <col min="1" max="1" width="59.5703125" bestFit="1" customWidth="1"/>
    <col min="2" max="2" width="16.140625" customWidth="1"/>
    <col min="3" max="3" width="10.140625" bestFit="1" customWidth="1"/>
    <col min="4" max="4" width="11.140625" bestFit="1" customWidth="1"/>
    <col min="5" max="5" width="10" bestFit="1" customWidth="1"/>
  </cols>
  <sheetData>
    <row r="1" spans="1:5" x14ac:dyDescent="0.25">
      <c r="A1" s="44" t="s">
        <v>16</v>
      </c>
      <c r="B1" s="44"/>
      <c r="C1" s="44"/>
      <c r="D1" s="44"/>
      <c r="E1" s="15"/>
    </row>
    <row r="2" spans="1:5" x14ac:dyDescent="0.25">
      <c r="A2" s="44" t="s">
        <v>17</v>
      </c>
      <c r="B2" s="45">
        <v>42026</v>
      </c>
      <c r="C2" s="46" t="s">
        <v>36</v>
      </c>
      <c r="D2" s="45">
        <v>42094</v>
      </c>
      <c r="E2" s="15"/>
    </row>
    <row r="3" spans="1:5" x14ac:dyDescent="0.25">
      <c r="A3" s="44" t="s">
        <v>19</v>
      </c>
      <c r="B3" s="59" t="str">
        <f>'mgmt fee'!B3</f>
        <v>Future Fund Investment Company No.2 Pty Ltd.</v>
      </c>
      <c r="C3" s="59"/>
      <c r="D3" s="59"/>
      <c r="E3" s="15"/>
    </row>
    <row r="4" spans="1:5" x14ac:dyDescent="0.25">
      <c r="A4" s="44"/>
      <c r="B4" s="44"/>
      <c r="C4" s="44"/>
      <c r="D4" s="44"/>
      <c r="E4" s="15"/>
    </row>
    <row r="5" spans="1:5" x14ac:dyDescent="0.25">
      <c r="A5" s="44" t="s">
        <v>21</v>
      </c>
      <c r="B5" s="47">
        <v>2.5000000000000001E-3</v>
      </c>
      <c r="C5" s="44" t="s">
        <v>37</v>
      </c>
      <c r="D5" s="44"/>
      <c r="E5" s="15"/>
    </row>
    <row r="6" spans="1:5" x14ac:dyDescent="0.25">
      <c r="A6" s="44" t="s">
        <v>38</v>
      </c>
      <c r="B6" s="48">
        <v>10000000</v>
      </c>
      <c r="C6" s="44"/>
      <c r="D6" s="44"/>
      <c r="E6" s="15"/>
    </row>
    <row r="7" spans="1:5" x14ac:dyDescent="0.25">
      <c r="A7" s="44" t="s">
        <v>39</v>
      </c>
      <c r="B7" s="48">
        <v>100000</v>
      </c>
      <c r="C7" s="44"/>
      <c r="D7" s="44"/>
      <c r="E7" s="15"/>
    </row>
    <row r="8" spans="1:5" x14ac:dyDescent="0.25">
      <c r="A8" s="44" t="s">
        <v>40</v>
      </c>
      <c r="B8" s="44" t="s">
        <v>41</v>
      </c>
      <c r="C8" s="44"/>
      <c r="D8" s="44"/>
      <c r="E8" s="15"/>
    </row>
    <row r="9" spans="1:5" x14ac:dyDescent="0.25">
      <c r="A9" s="44"/>
      <c r="B9" s="44"/>
      <c r="C9" s="44"/>
      <c r="D9" s="44"/>
      <c r="E9" s="15"/>
    </row>
    <row r="10" spans="1:5" x14ac:dyDescent="0.25">
      <c r="A10" s="44"/>
      <c r="B10" s="44"/>
      <c r="C10" s="44"/>
      <c r="D10" s="44"/>
      <c r="E10" s="15"/>
    </row>
    <row r="11" spans="1:5" x14ac:dyDescent="0.25">
      <c r="A11" s="44"/>
      <c r="B11" s="44"/>
      <c r="C11" s="44"/>
      <c r="D11" s="44"/>
      <c r="E11" s="15"/>
    </row>
    <row r="12" spans="1:5" x14ac:dyDescent="0.25">
      <c r="A12" s="49"/>
      <c r="B12" s="49"/>
      <c r="C12" s="44"/>
      <c r="D12" s="44"/>
      <c r="E12" s="15"/>
    </row>
    <row r="13" spans="1:5" x14ac:dyDescent="0.25">
      <c r="A13" s="44" t="s">
        <v>23</v>
      </c>
      <c r="B13" s="50">
        <f>B6</f>
        <v>10000000</v>
      </c>
      <c r="C13" s="44" t="s">
        <v>42</v>
      </c>
      <c r="D13" s="44"/>
      <c r="E13" s="15"/>
    </row>
    <row r="14" spans="1:5" x14ac:dyDescent="0.25">
      <c r="A14" s="44"/>
      <c r="B14" s="44"/>
      <c r="C14" s="44"/>
      <c r="D14" s="44"/>
      <c r="E14" s="15"/>
    </row>
    <row r="15" spans="1:5" x14ac:dyDescent="0.25">
      <c r="A15" s="44" t="s">
        <v>43</v>
      </c>
      <c r="B15" s="51">
        <v>2.5000000000000001E-3</v>
      </c>
      <c r="C15" s="44"/>
      <c r="D15" s="44"/>
      <c r="E15" s="15"/>
    </row>
    <row r="16" spans="1:5" x14ac:dyDescent="0.25">
      <c r="A16" s="44"/>
      <c r="B16" s="44"/>
      <c r="C16" s="44"/>
      <c r="D16" s="44"/>
      <c r="E16" s="15"/>
    </row>
    <row r="17" spans="1:5" x14ac:dyDescent="0.25">
      <c r="A17" s="44" t="s">
        <v>44</v>
      </c>
      <c r="B17" s="50">
        <f>B13*B15</f>
        <v>25000</v>
      </c>
      <c r="C17" s="44"/>
      <c r="D17" s="44"/>
      <c r="E17" s="15"/>
    </row>
    <row r="18" spans="1:5" x14ac:dyDescent="0.25">
      <c r="A18" s="44"/>
      <c r="B18" s="44"/>
      <c r="C18" s="44"/>
      <c r="D18" s="44"/>
      <c r="E18" s="15"/>
    </row>
    <row r="19" spans="1:5" x14ac:dyDescent="0.25">
      <c r="A19" s="44" t="s">
        <v>45</v>
      </c>
      <c r="B19" s="52">
        <f>B17/90</f>
        <v>277.77777777777777</v>
      </c>
      <c r="C19" s="44"/>
      <c r="D19" s="44"/>
      <c r="E19" s="15"/>
    </row>
    <row r="20" spans="1:5" x14ac:dyDescent="0.25">
      <c r="A20" s="44"/>
      <c r="B20" s="44"/>
      <c r="C20" s="44"/>
      <c r="D20" s="44"/>
      <c r="E20" s="15"/>
    </row>
    <row r="21" spans="1:5" x14ac:dyDescent="0.25">
      <c r="A21" s="44" t="s">
        <v>46</v>
      </c>
      <c r="B21" s="53">
        <f>D27</f>
        <v>69</v>
      </c>
      <c r="C21" s="44"/>
      <c r="D21" s="44"/>
      <c r="E21" s="15"/>
    </row>
    <row r="22" spans="1:5" x14ac:dyDescent="0.25">
      <c r="A22" s="44"/>
      <c r="B22" s="44"/>
      <c r="C22" s="44"/>
      <c r="D22" s="44"/>
      <c r="E22" s="15"/>
    </row>
    <row r="23" spans="1:5" x14ac:dyDescent="0.25">
      <c r="A23" s="44" t="s">
        <v>28</v>
      </c>
      <c r="B23" s="44">
        <v>0</v>
      </c>
      <c r="C23" s="44"/>
      <c r="D23" s="44"/>
      <c r="E23" s="15"/>
    </row>
    <row r="24" spans="1:5" x14ac:dyDescent="0.25">
      <c r="A24" s="44"/>
      <c r="B24" s="44"/>
      <c r="C24" s="44"/>
      <c r="D24" s="44"/>
      <c r="E24" s="15"/>
    </row>
    <row r="25" spans="1:5" ht="15.75" thickBot="1" x14ac:dyDescent="0.3">
      <c r="A25" s="54" t="s">
        <v>47</v>
      </c>
      <c r="B25" s="55">
        <f>ROUND(B21*B19,0)</f>
        <v>19167</v>
      </c>
      <c r="C25" s="56" t="s">
        <v>29</v>
      </c>
      <c r="D25" s="44"/>
      <c r="E25" s="15"/>
    </row>
    <row r="26" spans="1:5" ht="15.75" thickTop="1" x14ac:dyDescent="0.25">
      <c r="A26" s="44"/>
      <c r="B26" s="44"/>
      <c r="C26" s="44"/>
      <c r="D26" s="44"/>
      <c r="E26" s="15"/>
    </row>
    <row r="27" spans="1:5" x14ac:dyDescent="0.25">
      <c r="A27" s="44"/>
      <c r="B27" s="57">
        <v>42026</v>
      </c>
      <c r="C27" s="57">
        <v>42094</v>
      </c>
      <c r="D27" s="58">
        <f>C27-B27+1</f>
        <v>69</v>
      </c>
      <c r="E27" s="1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incentive calc</vt:lpstr>
      <vt:lpstr>mgmt fee</vt:lpstr>
      <vt:lpstr>mgmt fee on draws</vt:lpstr>
      <vt:lpstr>'mgmt fee'!Print_Area</vt:lpstr>
    </vt:vector>
  </TitlesOfParts>
  <Company>Oakree Capital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Carlisle, Mel</dc:creator>
  <cp:lastModifiedBy>Levy, Dana</cp:lastModifiedBy>
  <cp:lastPrinted>2015-01-24T02:51:29Z</cp:lastPrinted>
  <dcterms:created xsi:type="dcterms:W3CDTF">2015-01-21T23:09:53Z</dcterms:created>
  <dcterms:modified xsi:type="dcterms:W3CDTF">2015-02-09T22:26:23Z</dcterms:modified>
</cp:coreProperties>
</file>